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6875" windowHeight="12270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<sst xmlns="http://schemas.openxmlformats.org/spreadsheetml/2006/main" count="60" uniqueCount="48">
  <si>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User Inputs in Orange</t>
  </si>
  <si>
    <t>Spacecraft</t>
  </si>
  <si>
    <t>Attitude Determination and Control System (ADCS)</t>
  </si>
  <si>
    <t>Electrical Power System (EPS)</t>
  </si>
  <si>
    <t>Propulsion (Reaction Control)</t>
  </si>
  <si>
    <t>Telemetry, Tracking, and Command (TT&amp;C)</t>
  </si>
  <si>
    <t>Aerospace Ground Equipment (AGE)</t>
  </si>
  <si>
    <t>Cost Driver</t>
  </si>
  <si>
    <t>EPS Weight (kg)</t>
  </si>
  <si>
    <t>Lower Limit</t>
  </si>
  <si>
    <t>Upper Limit</t>
  </si>
  <si>
    <t>Spacecraft Bus (alternate CER when no component information is available)</t>
  </si>
  <si>
    <t>Not Given</t>
  </si>
  <si>
    <t>Total</t>
  </si>
  <si>
    <t>All Subsystems</t>
  </si>
  <si>
    <t>N/A</t>
  </si>
  <si>
    <t>Cost Driver(s)</t>
  </si>
  <si>
    <t>Input a value between the Lower Limit and Upper Limit in the Value Column</t>
  </si>
  <si>
    <t>SME-SMAD WBS Element</t>
  </si>
  <si>
    <t>Non-recurring cost for development plus one qualification unit</t>
  </si>
  <si>
    <t>Structure</t>
  </si>
  <si>
    <t>Thermal Control</t>
  </si>
  <si>
    <t>Payload</t>
  </si>
  <si>
    <t>Spacecraft Integration, Assembly, and Test</t>
  </si>
  <si>
    <t>Integration, Assemby, and Test (IA&amp;T)</t>
  </si>
  <si>
    <t>Program Level</t>
  </si>
  <si>
    <t>Launch and Orbital Operations Support (LOOS)</t>
  </si>
  <si>
    <t>Flight Support</t>
  </si>
  <si>
    <t>Spacecraft Bus Dry Weight (kg)</t>
  </si>
  <si>
    <t>Structure Weight (kg)</t>
  </si>
  <si>
    <t>Thermal Weight (kg)</t>
  </si>
  <si>
    <t>ADCS Dry Weight (kg)</t>
  </si>
  <si>
    <t>TT&amp;C Weight (kg)</t>
  </si>
  <si>
    <t>Command and Data Handling Weight (kg)</t>
  </si>
  <si>
    <t>Spacecraft Bus Total Cost ($K)</t>
  </si>
  <si>
    <t>Command and Data Handling (CD&amp;H)</t>
  </si>
  <si>
    <t>Absolute Standard Error of the Estimate (SEE) FY2010 $</t>
  </si>
  <si>
    <t>Implemented by Anthony Shao, Microcosm. Contact: bookproject@smad.com</t>
  </si>
  <si>
    <t>Value*</t>
  </si>
  <si>
    <t>See text for discussion.</t>
  </si>
  <si>
    <t>Inflation Factors Relative to the Year 2010</t>
  </si>
  <si>
    <t>Fiscal Year</t>
  </si>
  <si>
    <t>Estimated Cost in $K for Fiscal Year:</t>
  </si>
  <si>
    <t>* Beyond 2012, the rates shown are based on an extrapolated constant rate of inflation. New projections are available annually.</t>
  </si>
  <si>
    <t>Inflation Factor*</t>
  </si>
  <si>
    <t>Estimatined Cost in FY2010 [$K]</t>
  </si>
  <si>
    <t>Table 11-11. SSCM Earth Orbiting Total Nonrecurring Cost CERS in FY2010 Thousands of Dollars</t>
  </si>
  <si>
    <t>Version 1.1. December 13, 2011. Copyright, 2011, Microcosm,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</si>
</sst>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[$-409]h:mm:ss\ AM/PM"/>
    <numFmt numFmtId="167" formatCode="0.0000"/>
    <numFmt numFmtId="168" formatCode="&quot;$&quot;#,##0.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0" xfId="2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0" xfId="22" applyFont="1" applyFill="1" applyBorder="1" applyAlignment="1">
      <alignment vertical="center" wrapText="1"/>
      <protection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2" xfId="0" applyNumberFormat="1" applyFill="1" applyBorder="1" applyAlignment="1">
      <alignment horizontal="center" wrapText="1"/>
    </xf>
    <xf numFmtId="0" fontId="8" fillId="0" borderId="0" xfId="0" applyFont="1" applyAlignment="1">
      <alignment/>
    </xf>
    <xf numFmtId="0" fontId="2" fillId="2" borderId="3" xfId="22" applyFont="1" applyFill="1" applyBorder="1" applyAlignment="1">
      <alignment horizontal="center" vertical="center" wrapText="1"/>
      <protection/>
    </xf>
    <xf numFmtId="0" fontId="1" fillId="3" borderId="4" xfId="0" applyFont="1" applyFill="1" applyBorder="1" applyAlignment="1">
      <alignment horizontal="center"/>
    </xf>
    <xf numFmtId="167" fontId="1" fillId="3" borderId="5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4" borderId="8" xfId="0" applyFill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0" fillId="4" borderId="4" xfId="0" applyFill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3" fontId="0" fillId="2" borderId="2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164" fontId="0" fillId="0" borderId="12" xfId="0" applyNumberFormat="1" applyBorder="1" applyAlignment="1">
      <alignment horizontal="center" wrapText="1"/>
    </xf>
    <xf numFmtId="0" fontId="1" fillId="3" borderId="13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3" fontId="1" fillId="3" borderId="14" xfId="0" applyNumberFormat="1" applyFont="1" applyFill="1" applyBorder="1" applyAlignment="1">
      <alignment horizontal="left" wrapText="1"/>
    </xf>
    <xf numFmtId="3" fontId="0" fillId="0" borderId="2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3" fontId="1" fillId="3" borderId="14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/>
    </xf>
    <xf numFmtId="164" fontId="0" fillId="0" borderId="16" xfId="0" applyNumberFormat="1" applyBorder="1" applyAlignment="1">
      <alignment horizontal="center"/>
    </xf>
    <xf numFmtId="0" fontId="0" fillId="5" borderId="16" xfId="0" applyFill="1" applyBorder="1" applyAlignment="1">
      <alignment/>
    </xf>
    <xf numFmtId="164" fontId="0" fillId="0" borderId="17" xfId="0" applyNumberFormat="1" applyBorder="1" applyAlignment="1">
      <alignment horizontal="center"/>
    </xf>
    <xf numFmtId="0" fontId="0" fillId="6" borderId="12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3" fontId="0" fillId="6" borderId="2" xfId="0" applyNumberForma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3" borderId="18" xfId="0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3" borderId="20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3" fontId="1" fillId="4" borderId="22" xfId="0" applyNumberFormat="1" applyFont="1" applyFill="1" applyBorder="1" applyAlignment="1">
      <alignment horizontal="center" wrapText="1"/>
    </xf>
    <xf numFmtId="3" fontId="1" fillId="4" borderId="23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" fillId="3" borderId="22" xfId="22" applyFont="1" applyFill="1" applyBorder="1" applyAlignment="1">
      <alignment horizontal="center" vertical="center" wrapText="1"/>
      <protection/>
    </xf>
    <xf numFmtId="0" fontId="2" fillId="3" borderId="23" xfId="22" applyFont="1" applyFill="1" applyBorder="1" applyAlignment="1">
      <alignment horizontal="center" vertical="center" wrapText="1"/>
      <protection/>
    </xf>
    <xf numFmtId="0" fontId="2" fillId="3" borderId="24" xfId="22" applyFont="1" applyFill="1" applyBorder="1" applyAlignment="1">
      <alignment horizontal="center" vertical="center" wrapText="1"/>
      <protection/>
    </xf>
    <xf numFmtId="0" fontId="1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1" fillId="4" borderId="27" xfId="0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1" fillId="3" borderId="29" xfId="0" applyFont="1" applyFill="1" applyBorder="1" applyAlignment="1">
      <alignment horizontal="center" wrapText="1"/>
    </xf>
    <xf numFmtId="0" fontId="0" fillId="0" borderId="8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8515625" style="0" customWidth="1"/>
    <col min="2" max="2" width="21.8515625" style="0" customWidth="1"/>
    <col min="3" max="5" width="10.57421875" style="0" customWidth="1"/>
    <col min="6" max="6" width="11.8515625" style="0" customWidth="1"/>
    <col min="7" max="7" width="15.7109375" style="0" customWidth="1"/>
    <col min="8" max="8" width="13.7109375" style="0" customWidth="1"/>
    <col min="9" max="9" width="52.421875" style="0" customWidth="1"/>
  </cols>
  <sheetData>
    <row r="1" spans="1:6" ht="12.75">
      <c r="A1" s="1" t="s">
        <v>46</v>
      </c>
      <c r="F1" s="9"/>
    </row>
    <row r="2" spans="1:6" ht="12.75">
      <c r="A2" t="s">
        <v>37</v>
      </c>
      <c r="F2" s="10"/>
    </row>
    <row r="3" ht="12.75">
      <c r="A3" t="s">
        <v>47</v>
      </c>
    </row>
    <row r="4" ht="12.75">
      <c r="A4" s="12" t="s">
        <v>39</v>
      </c>
    </row>
    <row r="5" ht="13.5" thickBot="1"/>
    <row r="6" spans="1:4" ht="13.5" thickBot="1">
      <c r="A6" s="13" t="s">
        <v>0</v>
      </c>
      <c r="B6" s="6"/>
      <c r="C6" s="6"/>
      <c r="D6" s="4"/>
    </row>
    <row r="7" spans="1:4" s="5" customFormat="1" ht="13.5" thickBot="1">
      <c r="A7" s="4"/>
      <c r="B7" s="4"/>
      <c r="C7" s="4"/>
      <c r="D7" s="4"/>
    </row>
    <row r="8" spans="1:8" s="5" customFormat="1" ht="15" customHeight="1" thickBot="1">
      <c r="A8" s="67" t="s">
        <v>19</v>
      </c>
      <c r="B8" s="68"/>
      <c r="C8" s="68"/>
      <c r="D8" s="68"/>
      <c r="E8" s="68"/>
      <c r="F8" s="68"/>
      <c r="G8" s="68"/>
      <c r="H8" s="69"/>
    </row>
    <row r="9" spans="1:8" ht="13.5" customHeight="1">
      <c r="A9" s="57" t="s">
        <v>18</v>
      </c>
      <c r="B9" s="76" t="s">
        <v>16</v>
      </c>
      <c r="C9" s="76"/>
      <c r="D9" s="76"/>
      <c r="E9" s="76"/>
      <c r="F9" s="76" t="s">
        <v>45</v>
      </c>
      <c r="G9" s="76" t="s">
        <v>36</v>
      </c>
      <c r="H9" s="58" t="s">
        <v>42</v>
      </c>
    </row>
    <row r="10" spans="1:8" ht="30" customHeight="1">
      <c r="A10" s="80"/>
      <c r="B10" s="53" t="s">
        <v>7</v>
      </c>
      <c r="C10" s="52" t="s">
        <v>17</v>
      </c>
      <c r="D10" s="52"/>
      <c r="E10" s="52"/>
      <c r="F10" s="77"/>
      <c r="G10" s="77"/>
      <c r="H10" s="60"/>
    </row>
    <row r="11" spans="1:9" s="2" customFormat="1" ht="16.5" customHeight="1" thickBot="1">
      <c r="A11" s="14"/>
      <c r="B11" s="54"/>
      <c r="C11" s="49" t="s">
        <v>9</v>
      </c>
      <c r="D11" s="49" t="s">
        <v>38</v>
      </c>
      <c r="E11" s="49" t="s">
        <v>10</v>
      </c>
      <c r="F11" s="78"/>
      <c r="G11" s="79"/>
      <c r="H11" s="50">
        <v>2012</v>
      </c>
      <c r="I11" s="48">
        <f>IF(OR(H11&lt;1995,H11&gt;2036),"Please choose a value between the years 1995 and 2036","")</f>
      </c>
    </row>
    <row r="12" spans="1:8" ht="13.5" thickBot="1">
      <c r="A12" s="73" t="s">
        <v>1</v>
      </c>
      <c r="B12" s="74"/>
      <c r="C12" s="74"/>
      <c r="D12" s="74"/>
      <c r="E12" s="74"/>
      <c r="F12" s="74"/>
      <c r="G12" s="74"/>
      <c r="H12" s="75"/>
    </row>
    <row r="13" spans="1:9" ht="39.75" customHeight="1">
      <c r="A13" s="28" t="s">
        <v>11</v>
      </c>
      <c r="B13" s="29" t="s">
        <v>28</v>
      </c>
      <c r="C13" s="44">
        <v>20</v>
      </c>
      <c r="D13" s="30">
        <v>200</v>
      </c>
      <c r="E13" s="44">
        <v>400</v>
      </c>
      <c r="F13" s="31">
        <f>1064+35.5*D13^1.261</f>
        <v>29366.65500603319</v>
      </c>
      <c r="G13" s="31">
        <v>3696</v>
      </c>
      <c r="H13" s="35">
        <f>F13*VLOOKUP($H$11,$A$37:$B$78,2,FALSE)</f>
        <v>30271.7812658831</v>
      </c>
      <c r="I13" s="7">
        <f>IF(OR(D13&lt;C13,D13&gt;E13),"*Note: Your cost driver input value is not within the range given","")</f>
      </c>
    </row>
    <row r="14" spans="1:9" ht="16.5" customHeight="1">
      <c r="A14" s="27" t="s">
        <v>20</v>
      </c>
      <c r="B14" s="25" t="s">
        <v>29</v>
      </c>
      <c r="C14" s="45">
        <v>5</v>
      </c>
      <c r="D14" s="3">
        <v>50</v>
      </c>
      <c r="E14" s="45">
        <v>100</v>
      </c>
      <c r="F14" s="26">
        <f>407+19.3*D14*LN(D14)</f>
        <v>4182.1022002381615</v>
      </c>
      <c r="G14" s="26">
        <v>1097</v>
      </c>
      <c r="H14" s="35">
        <f aca="true" t="shared" si="0" ref="H14:H19">F14*VLOOKUP($H$11,$A$37:$B$78,2,FALSE)</f>
        <v>4311.001134149224</v>
      </c>
      <c r="I14" s="7">
        <f aca="true" t="shared" si="1" ref="I14:I30">IF(OR(D14&lt;C14,D14&gt;E14),"*Note: Your cost driver input value is not within the range given","")</f>
      </c>
    </row>
    <row r="15" spans="1:9" ht="17.25" customHeight="1">
      <c r="A15" s="27" t="s">
        <v>21</v>
      </c>
      <c r="B15" s="25" t="s">
        <v>30</v>
      </c>
      <c r="C15" s="45">
        <v>5</v>
      </c>
      <c r="D15" s="3">
        <v>9</v>
      </c>
      <c r="E15" s="45">
        <v>12</v>
      </c>
      <c r="F15" s="26">
        <f>335+5.7*D15^2</f>
        <v>796.7</v>
      </c>
      <c r="G15" s="26">
        <v>119</v>
      </c>
      <c r="H15" s="35">
        <f t="shared" si="0"/>
        <v>821.2555406659109</v>
      </c>
      <c r="I15" s="7">
        <f t="shared" si="1"/>
      </c>
    </row>
    <row r="16" spans="1:9" ht="27" customHeight="1">
      <c r="A16" s="27" t="s">
        <v>2</v>
      </c>
      <c r="B16" s="25" t="s">
        <v>31</v>
      </c>
      <c r="C16" s="45">
        <v>1</v>
      </c>
      <c r="D16" s="3">
        <v>13</v>
      </c>
      <c r="E16" s="45">
        <v>25</v>
      </c>
      <c r="F16" s="26">
        <f>1850+11.7*D16^2</f>
        <v>3827.3</v>
      </c>
      <c r="G16" s="26">
        <v>1113</v>
      </c>
      <c r="H16" s="35">
        <f t="shared" si="0"/>
        <v>3945.263374909804</v>
      </c>
      <c r="I16" s="7">
        <f t="shared" si="1"/>
      </c>
    </row>
    <row r="17" spans="1:9" ht="16.5" customHeight="1">
      <c r="A17" s="27" t="s">
        <v>3</v>
      </c>
      <c r="B17" s="25" t="s">
        <v>8</v>
      </c>
      <c r="C17" s="45">
        <v>7</v>
      </c>
      <c r="D17" s="3">
        <v>40</v>
      </c>
      <c r="E17" s="45">
        <v>70</v>
      </c>
      <c r="F17" s="26">
        <f>1261+539*D17^0.72</f>
        <v>8935.88645240493</v>
      </c>
      <c r="G17" s="26">
        <v>910</v>
      </c>
      <c r="H17" s="35">
        <f t="shared" si="0"/>
        <v>9211.304455628215</v>
      </c>
      <c r="I17" s="7">
        <f t="shared" si="1"/>
      </c>
    </row>
    <row r="18" spans="1:9" ht="26.25" customHeight="1">
      <c r="A18" s="27" t="s">
        <v>4</v>
      </c>
      <c r="B18" s="25" t="s">
        <v>28</v>
      </c>
      <c r="C18" s="8">
        <v>20</v>
      </c>
      <c r="D18" s="8">
        <f>D13</f>
        <v>200</v>
      </c>
      <c r="E18" s="8">
        <v>400</v>
      </c>
      <c r="F18" s="26">
        <f>89+3*D18^1.261</f>
        <v>2480.773662481678</v>
      </c>
      <c r="G18" s="26">
        <v>310</v>
      </c>
      <c r="H18" s="35">
        <f t="shared" si="0"/>
        <v>2557.2349886420766</v>
      </c>
      <c r="I18" s="7">
        <f t="shared" si="1"/>
      </c>
    </row>
    <row r="19" spans="1:9" ht="27.75" customHeight="1">
      <c r="A19" s="27" t="s">
        <v>5</v>
      </c>
      <c r="B19" s="8" t="s">
        <v>32</v>
      </c>
      <c r="C19" s="45">
        <v>3</v>
      </c>
      <c r="D19" s="3">
        <v>15</v>
      </c>
      <c r="E19" s="45">
        <v>30</v>
      </c>
      <c r="F19" s="26">
        <f>486+55.5*D19^1.35</f>
        <v>2633.9105089060185</v>
      </c>
      <c r="G19" s="26">
        <v>629</v>
      </c>
      <c r="H19" s="35">
        <f t="shared" si="0"/>
        <v>2715.0917522997825</v>
      </c>
      <c r="I19" s="7">
        <f t="shared" si="1"/>
      </c>
    </row>
    <row r="20" spans="1:9" ht="27.75" customHeight="1" thickBot="1">
      <c r="A20" s="32" t="s">
        <v>35</v>
      </c>
      <c r="B20" s="33" t="s">
        <v>33</v>
      </c>
      <c r="C20" s="46">
        <v>3</v>
      </c>
      <c r="D20" s="22">
        <v>15</v>
      </c>
      <c r="E20" s="46">
        <v>30</v>
      </c>
      <c r="F20" s="34">
        <f>658+75*D20^1.35</f>
        <v>3560.581768791917</v>
      </c>
      <c r="G20" s="34">
        <v>854</v>
      </c>
      <c r="H20" s="35">
        <f>F20*VLOOKUP($H$11,$A$37:$B$78,2,FALSE)</f>
        <v>3670.3244704586305</v>
      </c>
      <c r="I20" s="7">
        <f t="shared" si="1"/>
      </c>
    </row>
    <row r="21" spans="1:9" ht="13.5" thickBot="1">
      <c r="A21" s="70" t="s">
        <v>22</v>
      </c>
      <c r="B21" s="71"/>
      <c r="C21" s="71"/>
      <c r="D21" s="71"/>
      <c r="E21" s="71"/>
      <c r="F21" s="71"/>
      <c r="G21" s="71"/>
      <c r="H21" s="72"/>
      <c r="I21" s="7"/>
    </row>
    <row r="22" spans="1:9" ht="27.75" customHeight="1" thickBot="1">
      <c r="A22" s="36" t="s">
        <v>22</v>
      </c>
      <c r="B22" s="37" t="s">
        <v>34</v>
      </c>
      <c r="C22" s="47">
        <v>2600</v>
      </c>
      <c r="D22" s="24">
        <v>35000</v>
      </c>
      <c r="E22" s="47">
        <v>69000</v>
      </c>
      <c r="F22" s="38">
        <f>0.4*D22</f>
        <v>14000</v>
      </c>
      <c r="G22" s="37" t="s">
        <v>12</v>
      </c>
      <c r="H22" s="23">
        <f>F22*VLOOKUP($H$11,$A$37:$B$78,2,FALSE)</f>
        <v>14431.501907019898</v>
      </c>
      <c r="I22" s="7">
        <f t="shared" si="1"/>
      </c>
    </row>
    <row r="23" spans="1:9" ht="14.25" customHeight="1" thickBot="1">
      <c r="A23" s="61" t="s">
        <v>23</v>
      </c>
      <c r="B23" s="62"/>
      <c r="C23" s="62"/>
      <c r="D23" s="62"/>
      <c r="E23" s="62"/>
      <c r="F23" s="62"/>
      <c r="G23" s="62"/>
      <c r="H23" s="63"/>
      <c r="I23" s="7"/>
    </row>
    <row r="24" spans="1:9" ht="28.5" customHeight="1" thickBot="1">
      <c r="A24" s="39" t="s">
        <v>24</v>
      </c>
      <c r="B24" s="37" t="s">
        <v>34</v>
      </c>
      <c r="C24" s="11">
        <v>2600</v>
      </c>
      <c r="D24" s="11">
        <f>D22</f>
        <v>35000</v>
      </c>
      <c r="E24" s="11">
        <v>69000</v>
      </c>
      <c r="F24" s="38">
        <f>0.139*D24</f>
        <v>4865</v>
      </c>
      <c r="G24" s="37" t="s">
        <v>12</v>
      </c>
      <c r="H24" s="23">
        <f>F24*VLOOKUP($H$11,$A$37:$B$78,2,FALSE)</f>
        <v>5014.946912689415</v>
      </c>
      <c r="I24" s="7">
        <f t="shared" si="1"/>
      </c>
    </row>
    <row r="25" spans="1:9" ht="13.5" thickBot="1">
      <c r="A25" s="61" t="s">
        <v>25</v>
      </c>
      <c r="B25" s="62"/>
      <c r="C25" s="62"/>
      <c r="D25" s="62"/>
      <c r="E25" s="62"/>
      <c r="F25" s="62"/>
      <c r="G25" s="62"/>
      <c r="H25" s="63"/>
      <c r="I25" s="7"/>
    </row>
    <row r="26" spans="1:9" ht="26.25" customHeight="1" thickBot="1">
      <c r="A26" s="39" t="s">
        <v>25</v>
      </c>
      <c r="B26" s="37" t="s">
        <v>34</v>
      </c>
      <c r="C26" s="11">
        <v>2600</v>
      </c>
      <c r="D26" s="11">
        <f>D22</f>
        <v>35000</v>
      </c>
      <c r="E26" s="11">
        <v>69000</v>
      </c>
      <c r="F26" s="38">
        <f>0.229*D26</f>
        <v>8015</v>
      </c>
      <c r="G26" s="37" t="s">
        <v>12</v>
      </c>
      <c r="H26" s="23">
        <f>F26*VLOOKUP($H$11,$A$37:$B$78,2,FALSE)</f>
        <v>8262.034841768891</v>
      </c>
      <c r="I26" s="7">
        <f t="shared" si="1"/>
      </c>
    </row>
    <row r="27" spans="1:9" ht="12.75" customHeight="1" thickBot="1">
      <c r="A27" s="61" t="s">
        <v>27</v>
      </c>
      <c r="B27" s="62"/>
      <c r="C27" s="62"/>
      <c r="D27" s="62"/>
      <c r="E27" s="62"/>
      <c r="F27" s="62"/>
      <c r="G27" s="62"/>
      <c r="H27" s="63"/>
      <c r="I27" s="7"/>
    </row>
    <row r="28" spans="1:9" ht="27.75" customHeight="1" thickBot="1">
      <c r="A28" s="39" t="s">
        <v>26</v>
      </c>
      <c r="B28" s="37" t="s">
        <v>34</v>
      </c>
      <c r="C28" s="11">
        <v>2600</v>
      </c>
      <c r="D28" s="11">
        <f>D22</f>
        <v>35000</v>
      </c>
      <c r="E28" s="11">
        <v>69000</v>
      </c>
      <c r="F28" s="38">
        <f>0.061*D28</f>
        <v>2135</v>
      </c>
      <c r="G28" s="37" t="s">
        <v>12</v>
      </c>
      <c r="H28" s="23">
        <f>F28*VLOOKUP($H$11,$A$37:$B$78,2,FALSE)</f>
        <v>2200.8040408205343</v>
      </c>
      <c r="I28" s="7">
        <f t="shared" si="1"/>
      </c>
    </row>
    <row r="29" spans="1:9" ht="12.75" customHeight="1" thickBot="1">
      <c r="A29" s="61" t="s">
        <v>6</v>
      </c>
      <c r="B29" s="62"/>
      <c r="C29" s="62"/>
      <c r="D29" s="62"/>
      <c r="E29" s="62"/>
      <c r="F29" s="62"/>
      <c r="G29" s="62"/>
      <c r="H29" s="63"/>
      <c r="I29" s="7"/>
    </row>
    <row r="30" spans="1:9" ht="28.5" customHeight="1" thickBot="1">
      <c r="A30" s="36" t="s">
        <v>6</v>
      </c>
      <c r="B30" s="37" t="s">
        <v>34</v>
      </c>
      <c r="C30" s="11">
        <v>2600</v>
      </c>
      <c r="D30" s="11">
        <f>D22</f>
        <v>35000</v>
      </c>
      <c r="E30" s="11">
        <v>69000</v>
      </c>
      <c r="F30" s="38">
        <f>0.066*D30</f>
        <v>2310</v>
      </c>
      <c r="G30" s="37" t="s">
        <v>12</v>
      </c>
      <c r="H30" s="23">
        <f>F30*VLOOKUP($H$11,$A$37:$B$78,2,FALSE)</f>
        <v>2381.197814658283</v>
      </c>
      <c r="I30" s="7">
        <f t="shared" si="1"/>
      </c>
    </row>
    <row r="31" spans="1:9" ht="13.5" thickBot="1">
      <c r="A31" s="64" t="s">
        <v>13</v>
      </c>
      <c r="B31" s="65"/>
      <c r="C31" s="65"/>
      <c r="D31" s="65"/>
      <c r="E31" s="65"/>
      <c r="F31" s="65"/>
      <c r="G31" s="65"/>
      <c r="H31" s="66"/>
      <c r="I31" s="7"/>
    </row>
    <row r="32" spans="1:9" ht="15.75" customHeight="1" thickBot="1">
      <c r="A32" s="40" t="s">
        <v>14</v>
      </c>
      <c r="B32" s="51" t="s">
        <v>15</v>
      </c>
      <c r="C32" s="51"/>
      <c r="D32" s="51"/>
      <c r="E32" s="51"/>
      <c r="F32" s="41">
        <f>SUM(F13,F14,F16,F17,F18,F19,F22,F20,F24,F26,F28,F30,)</f>
        <v>86312.20959885589</v>
      </c>
      <c r="G32" s="42"/>
      <c r="H32" s="43">
        <f>SUM(H13,H14,H16,H17,H18,H19,H22,H20,H24,H26,H28,H30,)</f>
        <v>88972.48695892785</v>
      </c>
      <c r="I32" s="7"/>
    </row>
    <row r="33" ht="13.5" thickBot="1"/>
    <row r="34" spans="1:2" ht="12.75">
      <c r="A34" s="57" t="s">
        <v>40</v>
      </c>
      <c r="B34" s="58"/>
    </row>
    <row r="35" spans="1:2" ht="12.75">
      <c r="A35" s="59"/>
      <c r="B35" s="60"/>
    </row>
    <row r="36" spans="1:2" ht="13.5" thickBot="1">
      <c r="A36" s="14" t="s">
        <v>41</v>
      </c>
      <c r="B36" s="15" t="s">
        <v>44</v>
      </c>
    </row>
    <row r="37" spans="1:2" ht="12.75">
      <c r="A37" s="16">
        <v>1995</v>
      </c>
      <c r="B37" s="17">
        <v>0.6605504587155964</v>
      </c>
    </row>
    <row r="38" spans="1:2" ht="12.75">
      <c r="A38" s="18">
        <v>1996</v>
      </c>
      <c r="B38" s="19">
        <v>0.6760127821874035</v>
      </c>
    </row>
    <row r="39" spans="1:2" ht="12.75">
      <c r="A39" s="18">
        <v>1997</v>
      </c>
      <c r="B39" s="19">
        <v>0.6930213380063911</v>
      </c>
    </row>
    <row r="40" spans="1:2" ht="12.75">
      <c r="A40" s="18">
        <v>1998</v>
      </c>
      <c r="B40" s="19">
        <v>0.7126069477373467</v>
      </c>
    </row>
    <row r="41" spans="1:2" ht="12.75">
      <c r="A41" s="18">
        <v>1999</v>
      </c>
      <c r="B41" s="19">
        <v>0.7320894753118236</v>
      </c>
    </row>
    <row r="42" spans="1:2" ht="12.75">
      <c r="A42" s="18">
        <v>2000</v>
      </c>
      <c r="B42" s="19">
        <v>0.7509535099474282</v>
      </c>
    </row>
    <row r="43" spans="1:2" ht="12.75">
      <c r="A43" s="18">
        <v>2001</v>
      </c>
      <c r="B43" s="19">
        <v>0.774765488094011</v>
      </c>
    </row>
    <row r="44" spans="1:2" ht="12.75">
      <c r="A44" s="18">
        <v>2002</v>
      </c>
      <c r="B44" s="19">
        <v>0.7954850015462325</v>
      </c>
    </row>
    <row r="45" spans="1:2" ht="12.75">
      <c r="A45" s="18">
        <v>2003</v>
      </c>
      <c r="B45" s="19">
        <v>0.8224925265436553</v>
      </c>
    </row>
    <row r="46" spans="1:2" ht="12.75">
      <c r="A46" s="18">
        <v>2004</v>
      </c>
      <c r="B46" s="19">
        <v>0.8493969693845995</v>
      </c>
    </row>
    <row r="47" spans="1:2" ht="12.75">
      <c r="A47" s="18">
        <v>2005</v>
      </c>
      <c r="B47" s="19">
        <v>0.8847541490567983</v>
      </c>
    </row>
    <row r="48" spans="1:2" ht="12.75">
      <c r="A48" s="18">
        <v>2006</v>
      </c>
      <c r="B48" s="19">
        <v>0.914029481496753</v>
      </c>
    </row>
    <row r="49" spans="1:2" ht="12.75">
      <c r="A49" s="18">
        <v>2007</v>
      </c>
      <c r="B49" s="19">
        <v>0.9388722812081229</v>
      </c>
    </row>
    <row r="50" spans="1:2" ht="12.75">
      <c r="A50" s="18">
        <v>2008</v>
      </c>
      <c r="B50" s="19">
        <v>0.9663952169879394</v>
      </c>
    </row>
    <row r="51" spans="1:2" ht="12.75">
      <c r="A51" s="18">
        <v>2009</v>
      </c>
      <c r="B51" s="19">
        <v>0.9793835687042572</v>
      </c>
    </row>
    <row r="52" spans="1:2" ht="12.75">
      <c r="A52" s="18">
        <v>2010</v>
      </c>
      <c r="B52" s="19">
        <v>1</v>
      </c>
    </row>
    <row r="53" spans="1:2" ht="12.75">
      <c r="A53" s="18">
        <v>2011</v>
      </c>
      <c r="B53" s="19">
        <v>1.0153592413153283</v>
      </c>
    </row>
    <row r="54" spans="1:2" ht="12.75">
      <c r="A54" s="18">
        <v>2012</v>
      </c>
      <c r="B54" s="19">
        <v>1.0308215647871355</v>
      </c>
    </row>
    <row r="55" spans="1:2" ht="12.75">
      <c r="A55" s="18">
        <v>2013</v>
      </c>
      <c r="B55" s="19">
        <v>1.0515410782393568</v>
      </c>
    </row>
    <row r="56" spans="1:2" ht="12.75">
      <c r="A56" s="18">
        <v>2014</v>
      </c>
      <c r="B56" s="19">
        <v>1.073394495412844</v>
      </c>
    </row>
    <row r="57" spans="1:2" ht="12.75">
      <c r="A57" s="18">
        <v>2015</v>
      </c>
      <c r="B57" s="19">
        <v>1.095763323368725</v>
      </c>
    </row>
    <row r="58" spans="1:2" ht="12.75">
      <c r="A58" s="18">
        <v>2016</v>
      </c>
      <c r="B58" s="19">
        <v>1.119162972889393</v>
      </c>
    </row>
    <row r="59" spans="1:2" ht="12.75">
      <c r="A59" s="18">
        <v>2017</v>
      </c>
      <c r="B59" s="19">
        <v>1.1430780331924544</v>
      </c>
    </row>
    <row r="60" spans="1:2" ht="12.75">
      <c r="A60" s="18">
        <v>2018</v>
      </c>
      <c r="B60" s="19">
        <v>1.1675085042779096</v>
      </c>
    </row>
    <row r="61" spans="1:2" ht="12.75">
      <c r="A61" s="18">
        <v>2019</v>
      </c>
      <c r="B61" s="19">
        <v>1.1924543861457582</v>
      </c>
    </row>
    <row r="62" spans="1:2" ht="12.75">
      <c r="A62" s="18">
        <v>2020</v>
      </c>
      <c r="B62" s="19">
        <v>1.2179156787960004</v>
      </c>
    </row>
    <row r="63" spans="1:2" ht="12.75">
      <c r="A63" s="18">
        <v>2021</v>
      </c>
      <c r="B63" s="19">
        <v>1.2438923822286363</v>
      </c>
    </row>
    <row r="64" spans="1:2" ht="12.75">
      <c r="A64" s="18">
        <v>2022</v>
      </c>
      <c r="B64" s="19">
        <v>1.2703844964436657</v>
      </c>
    </row>
    <row r="65" spans="1:2" ht="12.75">
      <c r="A65" s="18">
        <v>2023</v>
      </c>
      <c r="B65" s="19">
        <v>1.297598185754046</v>
      </c>
    </row>
    <row r="66" spans="1:2" ht="12.75">
      <c r="A66" s="18">
        <v>2024</v>
      </c>
      <c r="B66" s="19">
        <v>1.3252242036903414</v>
      </c>
    </row>
    <row r="67" spans="1:2" ht="12.75">
      <c r="A67" s="18">
        <v>2025</v>
      </c>
      <c r="B67" s="19">
        <v>1.3535717967219874</v>
      </c>
    </row>
    <row r="68" spans="1:2" ht="12.75">
      <c r="A68" s="18">
        <v>2026</v>
      </c>
      <c r="B68" s="19">
        <v>1.3824348005360272</v>
      </c>
    </row>
    <row r="69" spans="1:2" ht="12.75">
      <c r="A69" s="18">
        <v>2027</v>
      </c>
      <c r="B69" s="19">
        <v>1.4120193794454179</v>
      </c>
    </row>
    <row r="70" spans="1:2" ht="12.75">
      <c r="A70" s="18">
        <v>2028</v>
      </c>
      <c r="B70" s="19">
        <v>1.4421193691372025</v>
      </c>
    </row>
    <row r="71" spans="1:2" ht="12.75">
      <c r="A71" s="18">
        <v>2029</v>
      </c>
      <c r="B71" s="19">
        <v>1.4729409339243378</v>
      </c>
    </row>
    <row r="72" spans="1:2" ht="12.75">
      <c r="A72" s="18">
        <v>2030</v>
      </c>
      <c r="B72" s="19">
        <v>1.5043809916503454</v>
      </c>
    </row>
    <row r="73" spans="1:2" ht="12.75">
      <c r="A73" s="18">
        <v>2031</v>
      </c>
      <c r="B73" s="19">
        <v>1.536542624471704</v>
      </c>
    </row>
    <row r="74" spans="1:2" ht="12.75">
      <c r="A74" s="18">
        <v>2032</v>
      </c>
      <c r="B74" s="19">
        <v>1.569322750231935</v>
      </c>
    </row>
    <row r="75" spans="1:2" ht="12.75">
      <c r="A75" s="18">
        <v>2033</v>
      </c>
      <c r="B75" s="19">
        <v>1.6028244510875167</v>
      </c>
    </row>
    <row r="76" spans="1:2" ht="12.75">
      <c r="A76" s="18">
        <v>2034</v>
      </c>
      <c r="B76" s="19">
        <v>1.6370477270384498</v>
      </c>
    </row>
    <row r="77" spans="1:2" ht="12.75">
      <c r="A77" s="18">
        <v>2035</v>
      </c>
      <c r="B77" s="19">
        <v>1.6709617565199464</v>
      </c>
    </row>
    <row r="78" spans="1:2" ht="13.5" thickBot="1">
      <c r="A78" s="20">
        <v>2036</v>
      </c>
      <c r="B78" s="21">
        <v>1.7077620863828473</v>
      </c>
    </row>
    <row r="79" spans="1:2" ht="12.75">
      <c r="A79" s="55" t="s">
        <v>43</v>
      </c>
      <c r="B79" s="55"/>
    </row>
    <row r="80" spans="1:2" ht="12.75">
      <c r="A80" s="56"/>
      <c r="B80" s="56"/>
    </row>
  </sheetData>
  <mergeCells count="18">
    <mergeCell ref="A8:H8"/>
    <mergeCell ref="A21:H21"/>
    <mergeCell ref="A23:H23"/>
    <mergeCell ref="A12:H12"/>
    <mergeCell ref="B9:E9"/>
    <mergeCell ref="F9:F11"/>
    <mergeCell ref="G9:G11"/>
    <mergeCell ref="A9:A10"/>
    <mergeCell ref="B32:E32"/>
    <mergeCell ref="C10:E10"/>
    <mergeCell ref="B10:B11"/>
    <mergeCell ref="A79:B80"/>
    <mergeCell ref="A34:B35"/>
    <mergeCell ref="A25:H25"/>
    <mergeCell ref="A27:H27"/>
    <mergeCell ref="A29:H29"/>
    <mergeCell ref="A31:H31"/>
    <mergeCell ref="H9:H10"/>
  </mergeCells>
  <dataValidations count="1">
    <dataValidation type="list" allowBlank="1" showInputMessage="1" showErrorMessage="1" sqref="H11">
      <formula1>$A$37:$A$78</formula1>
    </dataValidation>
  </dataValidations>
  <printOptions/>
  <pageMargins left="0.5" right="0.5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2011-08-01T20:29:03Z</cp:lastPrinted>
  <dcterms:created xsi:type="dcterms:W3CDTF">2011-07-13T22:37:22Z</dcterms:created>
  <dcterms:modified xsi:type="dcterms:W3CDTF">2011-12-14T01:32:19Z</dcterms:modified>
  <cp:category/>
  <cp:version/>
  <cp:contentType/>
  <cp:contentStatus/>
</cp:coreProperties>
</file>